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ercedes\Downloads\"/>
    </mc:Choice>
  </mc:AlternateContent>
  <xr:revisionPtr revIDLastSave="0" documentId="13_ncr:1_{E02DE9E7-BFEE-44D2-99F9-39A8F269CFC5}" xr6:coauthVersionLast="47" xr6:coauthVersionMax="47" xr10:uidLastSave="{00000000-0000-0000-0000-000000000000}"/>
  <bookViews>
    <workbookView xWindow="-120" yWindow="-120" windowWidth="20730" windowHeight="11160" tabRatio="500" firstSheet="1" activeTab="4" xr2:uid="{00000000-000D-0000-FFFF-FFFF00000000}"/>
  </bookViews>
  <sheets>
    <sheet name="Inicio" sheetId="1" r:id="rId1"/>
    <sheet name="Modelo Resuelto" sheetId="2" r:id="rId2"/>
    <sheet name="Plantilla" sheetId="3" r:id="rId3"/>
    <sheet name="Control de Desvíos" sheetId="4" r:id="rId4"/>
    <sheet name="Inflación y Ajuste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5" l="1"/>
  <c r="C13" i="5"/>
  <c r="D11" i="5"/>
  <c r="D15" i="5" s="1"/>
  <c r="C11" i="5"/>
  <c r="C15" i="5" s="1"/>
  <c r="D14" i="4"/>
  <c r="G22" i="3"/>
  <c r="G21" i="3"/>
  <c r="G20" i="3"/>
  <c r="G19" i="3"/>
  <c r="G18" i="3"/>
  <c r="G17" i="3"/>
  <c r="C15" i="3"/>
  <c r="D15" i="3" s="1"/>
  <c r="C14" i="3"/>
  <c r="D14" i="3" s="1"/>
  <c r="C12" i="3"/>
  <c r="D12" i="3" s="1"/>
  <c r="C9" i="3"/>
  <c r="D9" i="3" s="1"/>
  <c r="C8" i="3"/>
  <c r="D8" i="3" s="1"/>
  <c r="C6" i="3"/>
  <c r="C11" i="3" s="1"/>
  <c r="D11" i="3" s="1"/>
  <c r="G22" i="2"/>
  <c r="G21" i="2"/>
  <c r="G20" i="2"/>
  <c r="G19" i="2"/>
  <c r="G18" i="2"/>
  <c r="G17" i="2"/>
  <c r="C15" i="2"/>
  <c r="D15" i="2" s="1"/>
  <c r="C14" i="2"/>
  <c r="D14" i="2" s="1"/>
  <c r="C12" i="2"/>
  <c r="D12" i="2" s="1"/>
  <c r="C9" i="2"/>
  <c r="D9" i="2" s="1"/>
  <c r="C8" i="2"/>
  <c r="D8" i="2" s="1"/>
  <c r="C6" i="2"/>
  <c r="D6" i="2" s="1"/>
  <c r="D6" i="3" l="1"/>
  <c r="C6" i="4"/>
  <c r="C8" i="4"/>
  <c r="C9" i="4"/>
  <c r="C11" i="4"/>
  <c r="C12" i="4"/>
  <c r="C13" i="4"/>
  <c r="C7" i="2"/>
  <c r="C11" i="2"/>
  <c r="C7" i="3"/>
  <c r="D7" i="3" s="1"/>
  <c r="E11" i="5"/>
  <c r="D12" i="5"/>
  <c r="D13" i="5" s="1"/>
  <c r="D14" i="5"/>
  <c r="C10" i="3" l="1"/>
  <c r="D11" i="2"/>
  <c r="C10" i="4"/>
  <c r="D7" i="2"/>
  <c r="C7" i="4"/>
  <c r="E12" i="4"/>
  <c r="G12" i="4" s="1"/>
  <c r="F12" i="4"/>
  <c r="E9" i="4"/>
  <c r="G9" i="4" s="1"/>
  <c r="F9" i="4"/>
  <c r="E6" i="4"/>
  <c r="G6" i="4" s="1"/>
  <c r="F6" i="4"/>
  <c r="E15" i="5"/>
  <c r="E14" i="5"/>
  <c r="E12" i="5"/>
  <c r="E13" i="5" s="1"/>
  <c r="F11" i="5"/>
  <c r="C10" i="2"/>
  <c r="E13" i="4"/>
  <c r="G13" i="4" s="1"/>
  <c r="F13" i="4"/>
  <c r="E11" i="4"/>
  <c r="G11" i="4" s="1"/>
  <c r="F11" i="4"/>
  <c r="E8" i="4"/>
  <c r="G8" i="4" s="1"/>
  <c r="F8" i="4"/>
  <c r="D10" i="2" l="1"/>
  <c r="C13" i="2"/>
  <c r="F15" i="5"/>
  <c r="F14" i="5"/>
  <c r="F12" i="5"/>
  <c r="F13" i="5" s="1"/>
  <c r="G11" i="5"/>
  <c r="E7" i="4"/>
  <c r="G7" i="4" s="1"/>
  <c r="F7" i="4"/>
  <c r="E10" i="4"/>
  <c r="G10" i="4" s="1"/>
  <c r="F10" i="4"/>
  <c r="C13" i="3"/>
  <c r="D10" i="3"/>
  <c r="G15" i="5" l="1"/>
  <c r="G14" i="5"/>
  <c r="G12" i="5"/>
  <c r="G13" i="5" s="1"/>
  <c r="H11" i="5"/>
  <c r="D13" i="2"/>
  <c r="C16" i="2"/>
  <c r="C16" i="3"/>
  <c r="D13" i="3"/>
  <c r="D16" i="2" l="1"/>
  <c r="C14" i="4"/>
  <c r="G23" i="2"/>
  <c r="H15" i="5"/>
  <c r="H14" i="5"/>
  <c r="H12" i="5"/>
  <c r="H13" i="5" s="1"/>
  <c r="G23" i="3"/>
  <c r="D16" i="3"/>
  <c r="F14" i="4" l="1"/>
  <c r="E14" i="4"/>
  <c r="G14" i="4" s="1"/>
</calcChain>
</file>

<file path=xl/sharedStrings.xml><?xml version="1.0" encoding="utf-8"?>
<sst xmlns="http://schemas.openxmlformats.org/spreadsheetml/2006/main" count="119" uniqueCount="87">
  <si>
    <t>GASTROCORP S.A.</t>
  </si>
  <si>
    <t>Presupuesto Económico — De la Receta a la Rentabilidad</t>
  </si>
  <si>
    <t>Gestión de Costos Gastronómicos · Tec. Sup. Mercedes Recalde · 2026</t>
  </si>
  <si>
    <t>¿Qué contiene este archivo?</t>
  </si>
  <si>
    <t>Este libro acompaña la intranet GastroCorp (Tablero de Control). El Excel ALIMENTA los KPIs; no los reemplaza.</t>
  </si>
  <si>
    <t>HOJA</t>
  </si>
  <si>
    <t>2 · MODELO RESUELTO</t>
  </si>
  <si>
    <t>Caso completo resuelto (restaurante italiano). Sirve de ejemplo y de clave de corrección. Todos los números visibles y calculados.</t>
  </si>
  <si>
    <t>3 · PLANTILLA (alumnos)</t>
  </si>
  <si>
    <t>Misma estructura, con celdas de carga en AZUL para completar. Las fórmulas recalculan solas. Es lo que entregan los estudiantes.</t>
  </si>
  <si>
    <t>4 · INFLACIÓN Y AJUSTE</t>
  </si>
  <si>
    <t>Proyección a 6 meses con inflación mensual y regla de ajuste de precio cuando el CVU sube más de 8%.</t>
  </si>
  <si>
    <t>Código de colores (estándar financiero)</t>
  </si>
  <si>
    <t>Texto AZUL = dato que cargás vos (input).  Texto negro = fórmula automática.  Fondo amarillo = supuesto a revisar.</t>
  </si>
  <si>
    <t>MODELO RESUELTO — Estado de Resultados Proyectado</t>
  </si>
  <si>
    <t>ESTADO DE RESULTADOS</t>
  </si>
  <si>
    <t>Importe</t>
  </si>
  <si>
    <t>% Ventas</t>
  </si>
  <si>
    <t>SUPUESTOS / DATOS DE CARGA</t>
  </si>
  <si>
    <t>(+) VENTAS NETAS</t>
  </si>
  <si>
    <t>Cubiertos proyectados (mes)</t>
  </si>
  <si>
    <t>(−) Costo de Materia Prima (Food Cost)</t>
  </si>
  <si>
    <t>Ticket promedio ($)</t>
  </si>
  <si>
    <t>(−) Mano de Obra + Cargas</t>
  </si>
  <si>
    <t>Food Cost objetivo (%)</t>
  </si>
  <si>
    <t>(−) Cargas Fabriles (CIF)</t>
  </si>
  <si>
    <t>MOD + Cargas sociales ($)</t>
  </si>
  <si>
    <t>(=) RESULTADO BRUTO</t>
  </si>
  <si>
    <t>CIF — Cargas Fabriles ($)</t>
  </si>
  <si>
    <t>(−) Gastos de Comercialización</t>
  </si>
  <si>
    <t>Gastos comercialización (% vtas)</t>
  </si>
  <si>
    <t>(−) Gastos Administrativos</t>
  </si>
  <si>
    <t>Gastos administrativos ($)</t>
  </si>
  <si>
    <t>(=) EBITDA</t>
  </si>
  <si>
    <t>Amortizaciones ($)</t>
  </si>
  <si>
    <t>(−) Amortizaciones</t>
  </si>
  <si>
    <t>Gastos financieros ($)</t>
  </si>
  <si>
    <t>(−) Gastos Financieros</t>
  </si>
  <si>
    <t>(=) RESULTADO NETO</t>
  </si>
  <si>
    <t>INDICADORES CLAVE</t>
  </si>
  <si>
    <t>CVU por cubierto ($)</t>
  </si>
  <si>
    <t>Contribución Marginal Unit. ($)</t>
  </si>
  <si>
    <t>Ratio de Contribución Marginal</t>
  </si>
  <si>
    <t>Costos Fijos totales ($)</t>
  </si>
  <si>
    <t>Punto de Equilibrio (cubiertos)</t>
  </si>
  <si>
    <t>Punto de Equilibrio ($)</t>
  </si>
  <si>
    <t>Resultado Neto / Ventas</t>
  </si>
  <si>
    <t>PLANTILLA — Estado de Resultados Proyectado</t>
  </si>
  <si>
    <t>Cargá los datos en AZUL. El Estado de Resultados se calcula solo.</t>
  </si>
  <si>
    <t>CONTROL PRESUPUESTARIO — Desvíos (Real vs. Presupuestado)</t>
  </si>
  <si>
    <t>El Presupuestado se trae del Modelo Resuelto. Cargá los valores REALES (azul). Desvío = Real − Presupuestado.</t>
  </si>
  <si>
    <t>LÍNEA</t>
  </si>
  <si>
    <t>Presupuestado</t>
  </si>
  <si>
    <t>Real</t>
  </si>
  <si>
    <t>Desvío $</t>
  </si>
  <si>
    <t>Desvío %</t>
  </si>
  <si>
    <t>Lectura</t>
  </si>
  <si>
    <t>Ventas Netas</t>
  </si>
  <si>
    <t>Costo de Materia Prima</t>
  </si>
  <si>
    <t>Mano de Obra + Cargas</t>
  </si>
  <si>
    <t>Cargas Fabriles (CIF)</t>
  </si>
  <si>
    <t>Gastos de Comercialización</t>
  </si>
  <si>
    <t>Gastos Administrativos</t>
  </si>
  <si>
    <t>Amortizaciones</t>
  </si>
  <si>
    <t>Gastos Financieros</t>
  </si>
  <si>
    <t>RESULTADO NETO</t>
  </si>
  <si>
    <t>Regla: positivo en ventas = bueno · positivo en costos = malo. Las dos líneas con mayor desvío desfavorable son las que requieren acción correctiva.</t>
  </si>
  <si>
    <t>INFLACIÓN Y AJUSTE DE PRECIOS — Proyección 6 meses</t>
  </si>
  <si>
    <t>Regla anti-inflación: si el CVU acumulado sube más de 8%, hay que ajustar el precio de carta.</t>
  </si>
  <si>
    <t>Inflación mensual estimada (%)</t>
  </si>
  <si>
    <t>CVU inicial ($)</t>
  </si>
  <si>
    <t>Precio de venta inicial ($)</t>
  </si>
  <si>
    <t>Umbral de ajuste (%)</t>
  </si>
  <si>
    <t>Concepto</t>
  </si>
  <si>
    <t>Mes 0</t>
  </si>
  <si>
    <t>Mes 1</t>
  </si>
  <si>
    <t>Mes 2</t>
  </si>
  <si>
    <t>Mes 3</t>
  </si>
  <si>
    <t>Mes 4</t>
  </si>
  <si>
    <t>Mes 5</t>
  </si>
  <si>
    <t>CVU del plato ($)</t>
  </si>
  <si>
    <t>Variación CVU acum. vs Mes 0</t>
  </si>
  <si>
    <t>¿Ajustar precio? (umbral)</t>
  </si>
  <si>
    <t>PV sugerido (mantiene FC) ($)</t>
  </si>
  <si>
    <t>FC% si NO ajusto el precio</t>
  </si>
  <si>
    <t>Lectura: si mantenés el precio fijo, el Food Cost trepa mes a mes (fila inferior) y te come el margen. Cuando la variación acumulada del CVU cruza el 8%, la fila de alerta marca AJUSTAR y el PV sugerido te dice a cuánto llevar la carta.</t>
  </si>
  <si>
    <t>Caso GastroCorp según kpi propuesto  Utilidad +$180.000 · PE 450 u. · FC 32% · MC 68%.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</si>
</sst>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;&quot;($&quot;#,##0\);\-"/>
    <numFmt numFmtId="165" formatCode="0.0%"/>
    <numFmt numFmtId="166" formatCode="#,##0;\(#,##0\);\-"/>
  </numFmts>
  <fonts count="18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b/>
      <sz val="12"/>
      <color rgb="FFFFFFFF"/>
      <name val="Arial"/>
      <charset val="1"/>
    </font>
    <font>
      <i/>
      <sz val="10"/>
      <color rgb="FF374151"/>
      <name val="Arial"/>
      <charset val="1"/>
    </font>
    <font>
      <b/>
      <sz val="11"/>
      <color rgb="FF065F46"/>
      <name val="Arial"/>
      <charset val="1"/>
    </font>
    <font>
      <sz val="10"/>
      <color rgb="FF000000"/>
      <name val="Arial"/>
      <charset val="1"/>
    </font>
    <font>
      <b/>
      <sz val="15"/>
      <color rgb="FFFFFFFF"/>
      <name val="Arial"/>
      <charset val="1"/>
    </font>
    <font>
      <i/>
      <sz val="9"/>
      <color rgb="FF374151"/>
      <name val="Arial"/>
      <charset val="1"/>
    </font>
    <font>
      <b/>
      <sz val="11"/>
      <color rgb="FFFFFFFF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b/>
      <sz val="10"/>
      <color rgb="FF0000FF"/>
      <name val="Arial"/>
      <charset val="1"/>
    </font>
    <font>
      <b/>
      <sz val="10"/>
      <color rgb="FF065F46"/>
      <name val="Arial"/>
      <charset val="1"/>
    </font>
    <font>
      <b/>
      <sz val="9"/>
      <color rgb="FF065F46"/>
      <name val="Arial"/>
      <charset val="1"/>
    </font>
    <font>
      <b/>
      <sz val="10"/>
      <color rgb="FFFFFFFF"/>
      <name val="Arial"/>
      <charset val="1"/>
    </font>
    <font>
      <sz val="10"/>
      <color rgb="FF008000"/>
      <name val="Arial"/>
      <charset val="1"/>
    </font>
    <font>
      <i/>
      <sz val="9"/>
      <color rgb="FF000000"/>
      <name val="Arial"/>
      <charset val="1"/>
    </font>
    <font>
      <i/>
      <sz val="9"/>
      <color rgb="FF065F46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065F46"/>
        <bgColor rgb="FF008080"/>
      </patternFill>
    </fill>
    <fill>
      <patternFill patternType="solid">
        <fgColor rgb="FF10B981"/>
        <bgColor rgb="FF33CCCC"/>
      </patternFill>
    </fill>
    <fill>
      <patternFill patternType="solid">
        <fgColor rgb="FFF3F4F6"/>
        <bgColor rgb="FFFFFFFF"/>
      </patternFill>
    </fill>
    <fill>
      <patternFill patternType="solid">
        <fgColor rgb="FFD1FAE5"/>
        <bgColor rgb="FFCCFFFF"/>
      </patternFill>
    </fill>
    <fill>
      <patternFill patternType="solid">
        <fgColor rgb="FFFFF3CD"/>
        <bgColor rgb="FFF3F4F6"/>
      </patternFill>
    </fill>
    <fill>
      <patternFill patternType="solid">
        <fgColor rgb="FF1F2937"/>
        <bgColor rgb="FF333300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7" fillId="6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164" fontId="9" fillId="0" borderId="1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166" fontId="11" fillId="6" borderId="1" xfId="0" applyNumberFormat="1" applyFont="1" applyFill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 vertical="center"/>
    </xf>
    <xf numFmtId="164" fontId="11" fillId="6" borderId="1" xfId="0" applyNumberFormat="1" applyFont="1" applyFill="1" applyBorder="1" applyAlignment="1">
      <alignment horizontal="right" vertical="center"/>
    </xf>
    <xf numFmtId="165" fontId="11" fillId="6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/>
    <xf numFmtId="164" fontId="12" fillId="5" borderId="1" xfId="0" applyNumberFormat="1" applyFont="1" applyFill="1" applyBorder="1" applyAlignment="1">
      <alignment horizontal="right" vertical="center"/>
    </xf>
    <xf numFmtId="165" fontId="13" fillId="5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horizontal="right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164" fontId="15" fillId="5" borderId="1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165" fontId="5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08080"/>
      <rgbColor rgb="FF9999FF"/>
      <rgbColor rgb="FF993366"/>
      <rgbColor rgb="FFFFF3CD"/>
      <rgbColor rgb="FFF3F4F6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0B981"/>
      <rgbColor rgb="FF003300"/>
      <rgbColor rgb="FF333300"/>
      <rgbColor rgb="FF993300"/>
      <rgbColor rgb="FF993366"/>
      <rgbColor rgb="FF374151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9"/>
  <sheetViews>
    <sheetView showGridLines="0" topLeftCell="A9" zoomScaleNormal="100" workbookViewId="0"/>
  </sheetViews>
  <sheetFormatPr baseColWidth="10" defaultColWidth="8.7109375" defaultRowHeight="15" x14ac:dyDescent="0.25"/>
  <cols>
    <col min="1" max="1" width="2" customWidth="1"/>
    <col min="2" max="5" width="24" customWidth="1"/>
    <col min="6" max="6" width="2" customWidth="1"/>
  </cols>
  <sheetData>
    <row r="2" spans="2:5" ht="36" customHeight="1" x14ac:dyDescent="0.25">
      <c r="B2" s="13" t="s">
        <v>0</v>
      </c>
      <c r="C2" s="13"/>
      <c r="D2" s="13"/>
      <c r="E2" s="13"/>
    </row>
    <row r="3" spans="2:5" ht="24" customHeight="1" x14ac:dyDescent="0.25">
      <c r="B3" s="12" t="s">
        <v>1</v>
      </c>
      <c r="C3" s="12"/>
      <c r="D3" s="12"/>
      <c r="E3" s="12"/>
    </row>
    <row r="5" spans="2:5" ht="15" customHeight="1" x14ac:dyDescent="0.25">
      <c r="B5" s="11" t="s">
        <v>2</v>
      </c>
      <c r="C5" s="11"/>
      <c r="D5" s="11"/>
      <c r="E5" s="11"/>
    </row>
    <row r="7" spans="2:5" ht="19.5" customHeight="1" x14ac:dyDescent="0.25">
      <c r="B7" s="10" t="s">
        <v>3</v>
      </c>
      <c r="C7" s="10"/>
      <c r="D7" s="10"/>
      <c r="E7" s="10"/>
    </row>
    <row r="8" spans="2:5" ht="30" customHeight="1" x14ac:dyDescent="0.25">
      <c r="B8" s="9" t="s">
        <v>4</v>
      </c>
      <c r="C8" s="9"/>
      <c r="D8" s="9"/>
      <c r="E8" s="9"/>
    </row>
    <row r="9" spans="2:5" ht="30" customHeight="1" x14ac:dyDescent="0.25">
      <c r="B9" s="9"/>
      <c r="C9" s="9"/>
      <c r="D9" s="9"/>
      <c r="E9" s="9"/>
    </row>
    <row r="10" spans="2:5" ht="19.5" customHeight="1" x14ac:dyDescent="0.25">
      <c r="B10" s="8" t="s">
        <v>5</v>
      </c>
      <c r="C10" s="8"/>
      <c r="D10" s="8"/>
      <c r="E10" s="8"/>
    </row>
    <row r="11" spans="2:5" ht="30" customHeight="1" x14ac:dyDescent="0.25">
      <c r="B11" s="7" t="s">
        <v>6</v>
      </c>
      <c r="C11" s="7"/>
      <c r="D11" s="7"/>
      <c r="E11" s="7"/>
    </row>
    <row r="12" spans="2:5" ht="30" customHeight="1" x14ac:dyDescent="0.25">
      <c r="B12" s="9" t="s">
        <v>7</v>
      </c>
      <c r="C12" s="9"/>
      <c r="D12" s="9"/>
      <c r="E12" s="9"/>
    </row>
    <row r="13" spans="2:5" ht="30" customHeight="1" x14ac:dyDescent="0.25">
      <c r="B13" s="7" t="s">
        <v>8</v>
      </c>
      <c r="C13" s="7"/>
      <c r="D13" s="7"/>
      <c r="E13" s="7"/>
    </row>
    <row r="14" spans="2:5" ht="30" customHeight="1" x14ac:dyDescent="0.25">
      <c r="B14" s="9" t="s">
        <v>9</v>
      </c>
      <c r="C14" s="9"/>
      <c r="D14" s="9"/>
      <c r="E14" s="9"/>
    </row>
    <row r="15" spans="2:5" ht="30" customHeight="1" x14ac:dyDescent="0.25">
      <c r="B15" s="7" t="s">
        <v>10</v>
      </c>
      <c r="C15" s="7"/>
      <c r="D15" s="7"/>
      <c r="E15" s="7"/>
    </row>
    <row r="16" spans="2:5" ht="30" customHeight="1" x14ac:dyDescent="0.25">
      <c r="B16" s="9" t="s">
        <v>11</v>
      </c>
      <c r="C16" s="9"/>
      <c r="D16" s="9"/>
      <c r="E16" s="9"/>
    </row>
    <row r="17" spans="2:5" ht="30" customHeight="1" x14ac:dyDescent="0.25">
      <c r="B17" s="9"/>
      <c r="C17" s="9"/>
      <c r="D17" s="9"/>
      <c r="E17" s="9"/>
    </row>
    <row r="18" spans="2:5" ht="19.5" customHeight="1" x14ac:dyDescent="0.25">
      <c r="B18" s="10" t="s">
        <v>12</v>
      </c>
      <c r="C18" s="10"/>
      <c r="D18" s="10"/>
      <c r="E18" s="10"/>
    </row>
    <row r="19" spans="2:5" ht="30" customHeight="1" x14ac:dyDescent="0.25">
      <c r="B19" s="6" t="s">
        <v>13</v>
      </c>
      <c r="C19" s="6"/>
      <c r="D19" s="6"/>
      <c r="E19" s="6"/>
    </row>
  </sheetData>
  <mergeCells count="16">
    <mergeCell ref="B19:E19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2:E2"/>
    <mergeCell ref="B3:E3"/>
    <mergeCell ref="B5:E5"/>
    <mergeCell ref="B7:E7"/>
    <mergeCell ref="B8:E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3"/>
  <sheetViews>
    <sheetView showGridLines="0" topLeftCell="A3" zoomScaleNormal="100" workbookViewId="0">
      <selection activeCell="J8" sqref="J8"/>
    </sheetView>
  </sheetViews>
  <sheetFormatPr baseColWidth="10" defaultColWidth="8.7109375" defaultRowHeight="15" x14ac:dyDescent="0.25"/>
  <cols>
    <col min="1" max="1" width="2" customWidth="1"/>
    <col min="2" max="2" width="38" customWidth="1"/>
    <col min="3" max="3" width="18" customWidth="1"/>
    <col min="4" max="4" width="16" customWidth="1"/>
    <col min="5" max="5" width="3" customWidth="1"/>
    <col min="6" max="6" width="34" customWidth="1"/>
    <col min="7" max="7" width="18" customWidth="1"/>
  </cols>
  <sheetData>
    <row r="2" spans="2:7" ht="30" customHeight="1" x14ac:dyDescent="0.25">
      <c r="B2" s="5" t="s">
        <v>14</v>
      </c>
      <c r="C2" s="5"/>
      <c r="D2" s="5"/>
      <c r="E2" s="5"/>
      <c r="F2" s="5"/>
      <c r="G2" s="5"/>
    </row>
    <row r="3" spans="2:7" ht="15" customHeight="1" x14ac:dyDescent="0.25">
      <c r="B3" s="4" t="s">
        <v>86</v>
      </c>
      <c r="C3" s="4"/>
      <c r="D3" s="4"/>
      <c r="E3" s="4"/>
      <c r="F3" s="4"/>
      <c r="G3" s="4"/>
    </row>
    <row r="5" spans="2:7" ht="15" customHeight="1" x14ac:dyDescent="0.25">
      <c r="B5" s="14" t="s">
        <v>15</v>
      </c>
      <c r="C5" s="14" t="s">
        <v>16</v>
      </c>
      <c r="D5" s="14" t="s">
        <v>17</v>
      </c>
      <c r="F5" s="3" t="s">
        <v>18</v>
      </c>
      <c r="G5" s="3"/>
    </row>
    <row r="6" spans="2:7" x14ac:dyDescent="0.25">
      <c r="B6" s="15" t="s">
        <v>19</v>
      </c>
      <c r="C6" s="16">
        <f>$G$6*$G$7</f>
        <v>4770000</v>
      </c>
      <c r="D6" s="17">
        <f t="shared" ref="D6:D16" si="0">IFERROR(C6/$C$6,0)</f>
        <v>1</v>
      </c>
      <c r="F6" s="18" t="s">
        <v>20</v>
      </c>
      <c r="G6" s="19">
        <v>477</v>
      </c>
    </row>
    <row r="7" spans="2:7" x14ac:dyDescent="0.25">
      <c r="B7" s="20" t="s">
        <v>21</v>
      </c>
      <c r="C7" s="21">
        <f>-C6*$G$8</f>
        <v>-1431000</v>
      </c>
      <c r="D7" s="17">
        <f t="shared" si="0"/>
        <v>-0.3</v>
      </c>
      <c r="F7" s="18" t="s">
        <v>22</v>
      </c>
      <c r="G7" s="22">
        <v>10000</v>
      </c>
    </row>
    <row r="8" spans="2:7" x14ac:dyDescent="0.25">
      <c r="B8" s="20" t="s">
        <v>23</v>
      </c>
      <c r="C8" s="21">
        <f>-$G$9</f>
        <v>-2000000</v>
      </c>
      <c r="D8" s="17">
        <f t="shared" si="0"/>
        <v>-0.41928721174004191</v>
      </c>
      <c r="F8" s="18" t="s">
        <v>24</v>
      </c>
      <c r="G8" s="23">
        <v>0.3</v>
      </c>
    </row>
    <row r="9" spans="2:7" x14ac:dyDescent="0.25">
      <c r="B9" s="20" t="s">
        <v>25</v>
      </c>
      <c r="C9" s="21">
        <f>-$G$10</f>
        <v>-600000</v>
      </c>
      <c r="D9" s="17">
        <f t="shared" si="0"/>
        <v>-0.12578616352201258</v>
      </c>
      <c r="F9" s="18" t="s">
        <v>26</v>
      </c>
      <c r="G9" s="22">
        <v>2000000</v>
      </c>
    </row>
    <row r="10" spans="2:7" x14ac:dyDescent="0.25">
      <c r="B10" s="24" t="s">
        <v>27</v>
      </c>
      <c r="C10" s="25">
        <f>SUM(C6:C9)</f>
        <v>739000</v>
      </c>
      <c r="D10" s="26">
        <f t="shared" si="0"/>
        <v>0.1549266247379455</v>
      </c>
      <c r="F10" s="18" t="s">
        <v>28</v>
      </c>
      <c r="G10" s="22">
        <v>600000</v>
      </c>
    </row>
    <row r="11" spans="2:7" x14ac:dyDescent="0.25">
      <c r="B11" s="20" t="s">
        <v>29</v>
      </c>
      <c r="C11" s="21">
        <f>-C6*$G$11</f>
        <v>-95400</v>
      </c>
      <c r="D11" s="17">
        <f t="shared" si="0"/>
        <v>-0.02</v>
      </c>
      <c r="F11" s="18" t="s">
        <v>30</v>
      </c>
      <c r="G11" s="23">
        <v>0.02</v>
      </c>
    </row>
    <row r="12" spans="2:7" x14ac:dyDescent="0.25">
      <c r="B12" s="20" t="s">
        <v>31</v>
      </c>
      <c r="C12" s="21">
        <f>-$G$12</f>
        <v>-260000</v>
      </c>
      <c r="D12" s="17">
        <f t="shared" si="0"/>
        <v>-5.450733752620545E-2</v>
      </c>
      <c r="F12" s="18" t="s">
        <v>32</v>
      </c>
      <c r="G12" s="22">
        <v>260000</v>
      </c>
    </row>
    <row r="13" spans="2:7" x14ac:dyDescent="0.25">
      <c r="B13" s="24" t="s">
        <v>33</v>
      </c>
      <c r="C13" s="25">
        <f>C10+SUM(C11:C12)</f>
        <v>383600</v>
      </c>
      <c r="D13" s="26">
        <f t="shared" si="0"/>
        <v>8.0419287211740048E-2</v>
      </c>
      <c r="F13" s="18" t="s">
        <v>34</v>
      </c>
      <c r="G13" s="22">
        <v>120000</v>
      </c>
    </row>
    <row r="14" spans="2:7" x14ac:dyDescent="0.25">
      <c r="B14" s="20" t="s">
        <v>35</v>
      </c>
      <c r="C14" s="21">
        <f>-$G$13</f>
        <v>-120000</v>
      </c>
      <c r="D14" s="17">
        <f t="shared" si="0"/>
        <v>-2.5157232704402517E-2</v>
      </c>
      <c r="F14" s="18" t="s">
        <v>36</v>
      </c>
      <c r="G14" s="22">
        <v>80000</v>
      </c>
    </row>
    <row r="15" spans="2:7" x14ac:dyDescent="0.25">
      <c r="B15" s="20" t="s">
        <v>37</v>
      </c>
      <c r="C15" s="21">
        <f>-$G$14</f>
        <v>-80000</v>
      </c>
      <c r="D15" s="17">
        <f t="shared" si="0"/>
        <v>-1.6771488469601678E-2</v>
      </c>
    </row>
    <row r="16" spans="2:7" ht="15" customHeight="1" x14ac:dyDescent="0.25">
      <c r="B16" s="27" t="s">
        <v>38</v>
      </c>
      <c r="C16" s="28">
        <f>C13+SUM(C14:C15)</f>
        <v>183600</v>
      </c>
      <c r="D16" s="29">
        <f t="shared" si="0"/>
        <v>3.8490566037735846E-2</v>
      </c>
      <c r="F16" s="2" t="s">
        <v>39</v>
      </c>
      <c r="G16" s="2"/>
    </row>
    <row r="17" spans="6:7" x14ac:dyDescent="0.25">
      <c r="F17" s="18" t="s">
        <v>40</v>
      </c>
      <c r="G17" s="16">
        <f>$G$7*($G$8+$G$11)</f>
        <v>3200</v>
      </c>
    </row>
    <row r="18" spans="6:7" x14ac:dyDescent="0.25">
      <c r="F18" s="18" t="s">
        <v>41</v>
      </c>
      <c r="G18" s="16">
        <f>$G$7-$G$7*($G$8+$G$11)</f>
        <v>6800</v>
      </c>
    </row>
    <row r="19" spans="6:7" x14ac:dyDescent="0.25">
      <c r="F19" s="18" t="s">
        <v>42</v>
      </c>
      <c r="G19" s="30">
        <f>1-($G$8+$G$11)</f>
        <v>0.67999999999999994</v>
      </c>
    </row>
    <row r="20" spans="6:7" x14ac:dyDescent="0.25">
      <c r="F20" s="18" t="s">
        <v>43</v>
      </c>
      <c r="G20" s="16">
        <f>$G$9+$G$10+$G$12+$G$13+$G$14</f>
        <v>3060000</v>
      </c>
    </row>
    <row r="21" spans="6:7" x14ac:dyDescent="0.25">
      <c r="F21" s="18" t="s">
        <v>44</v>
      </c>
      <c r="G21" s="31">
        <f>IFERROR(ROUNDUP(($G$9+$G$10+$G$12+$G$13+$G$14)/($G$7-$G$7*($G$8+$G$11)),0),0)</f>
        <v>450</v>
      </c>
    </row>
    <row r="22" spans="6:7" x14ac:dyDescent="0.25">
      <c r="F22" s="18" t="s">
        <v>45</v>
      </c>
      <c r="G22" s="16">
        <f>IFERROR(($G$9+$G$10+$G$12+$G$13+$G$14)/(1-($G$8+$G$11)),0)</f>
        <v>4500000</v>
      </c>
    </row>
    <row r="23" spans="6:7" x14ac:dyDescent="0.25">
      <c r="F23" s="18" t="s">
        <v>46</v>
      </c>
      <c r="G23" s="30">
        <f>IFERROR(C16/C6,0)</f>
        <v>3.8490566037735846E-2</v>
      </c>
    </row>
  </sheetData>
  <mergeCells count="4">
    <mergeCell ref="B2:G2"/>
    <mergeCell ref="B3:G3"/>
    <mergeCell ref="F5:G5"/>
    <mergeCell ref="F16:G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3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8" customWidth="1"/>
    <col min="3" max="3" width="18" customWidth="1"/>
    <col min="4" max="4" width="16" customWidth="1"/>
    <col min="5" max="5" width="3" customWidth="1"/>
    <col min="6" max="6" width="34" customWidth="1"/>
    <col min="7" max="7" width="18" customWidth="1"/>
  </cols>
  <sheetData>
    <row r="2" spans="2:7" ht="30" customHeight="1" x14ac:dyDescent="0.25">
      <c r="B2" s="5" t="s">
        <v>47</v>
      </c>
      <c r="C2" s="5"/>
      <c r="D2" s="5"/>
      <c r="E2" s="5"/>
      <c r="F2" s="5"/>
      <c r="G2" s="5"/>
    </row>
    <row r="3" spans="2:7" ht="15" customHeight="1" x14ac:dyDescent="0.25">
      <c r="B3" s="4" t="s">
        <v>48</v>
      </c>
      <c r="C3" s="4"/>
      <c r="D3" s="4"/>
      <c r="E3" s="4"/>
      <c r="F3" s="4"/>
      <c r="G3" s="4"/>
    </row>
    <row r="5" spans="2:7" ht="15" customHeight="1" x14ac:dyDescent="0.25">
      <c r="B5" s="14" t="s">
        <v>15</v>
      </c>
      <c r="C5" s="14" t="s">
        <v>16</v>
      </c>
      <c r="D5" s="14" t="s">
        <v>17</v>
      </c>
      <c r="F5" s="3" t="s">
        <v>18</v>
      </c>
      <c r="G5" s="3"/>
    </row>
    <row r="6" spans="2:7" x14ac:dyDescent="0.25">
      <c r="B6" s="15" t="s">
        <v>19</v>
      </c>
      <c r="C6" s="16">
        <f>$G$6*$G$7</f>
        <v>0</v>
      </c>
      <c r="D6" s="17">
        <f t="shared" ref="D6:D16" si="0">IFERROR(C6/$C$6,0)</f>
        <v>0</v>
      </c>
      <c r="F6" s="18" t="s">
        <v>20</v>
      </c>
      <c r="G6" s="19"/>
    </row>
    <row r="7" spans="2:7" x14ac:dyDescent="0.25">
      <c r="B7" s="20" t="s">
        <v>21</v>
      </c>
      <c r="C7" s="21">
        <f>-C6*$G$8</f>
        <v>0</v>
      </c>
      <c r="D7" s="17">
        <f t="shared" si="0"/>
        <v>0</v>
      </c>
      <c r="F7" s="18" t="s">
        <v>22</v>
      </c>
      <c r="G7" s="22"/>
    </row>
    <row r="8" spans="2:7" x14ac:dyDescent="0.25">
      <c r="B8" s="20" t="s">
        <v>23</v>
      </c>
      <c r="C8" s="21">
        <f>-$G$9</f>
        <v>0</v>
      </c>
      <c r="D8" s="17">
        <f t="shared" si="0"/>
        <v>0</v>
      </c>
      <c r="F8" s="18" t="s">
        <v>24</v>
      </c>
      <c r="G8" s="23"/>
    </row>
    <row r="9" spans="2:7" x14ac:dyDescent="0.25">
      <c r="B9" s="20" t="s">
        <v>25</v>
      </c>
      <c r="C9" s="21">
        <f>-$G$10</f>
        <v>0</v>
      </c>
      <c r="D9" s="17">
        <f t="shared" si="0"/>
        <v>0</v>
      </c>
      <c r="F9" s="18" t="s">
        <v>26</v>
      </c>
      <c r="G9" s="22"/>
    </row>
    <row r="10" spans="2:7" x14ac:dyDescent="0.25">
      <c r="B10" s="24" t="s">
        <v>27</v>
      </c>
      <c r="C10" s="25">
        <f>SUM(C6:C9)</f>
        <v>0</v>
      </c>
      <c r="D10" s="26">
        <f t="shared" si="0"/>
        <v>0</v>
      </c>
      <c r="F10" s="18" t="s">
        <v>28</v>
      </c>
      <c r="G10" s="22"/>
    </row>
    <row r="11" spans="2:7" x14ac:dyDescent="0.25">
      <c r="B11" s="20" t="s">
        <v>29</v>
      </c>
      <c r="C11" s="21">
        <f>-C6*$G$11</f>
        <v>0</v>
      </c>
      <c r="D11" s="17">
        <f t="shared" si="0"/>
        <v>0</v>
      </c>
      <c r="F11" s="18" t="s">
        <v>30</v>
      </c>
      <c r="G11" s="23"/>
    </row>
    <row r="12" spans="2:7" x14ac:dyDescent="0.25">
      <c r="B12" s="20" t="s">
        <v>31</v>
      </c>
      <c r="C12" s="21">
        <f>-$G$12</f>
        <v>0</v>
      </c>
      <c r="D12" s="17">
        <f t="shared" si="0"/>
        <v>0</v>
      </c>
      <c r="F12" s="18" t="s">
        <v>32</v>
      </c>
      <c r="G12" s="22"/>
    </row>
    <row r="13" spans="2:7" x14ac:dyDescent="0.25">
      <c r="B13" s="24" t="s">
        <v>33</v>
      </c>
      <c r="C13" s="25">
        <f>C10+SUM(C11:C12)</f>
        <v>0</v>
      </c>
      <c r="D13" s="26">
        <f t="shared" si="0"/>
        <v>0</v>
      </c>
      <c r="F13" s="18" t="s">
        <v>34</v>
      </c>
      <c r="G13" s="22"/>
    </row>
    <row r="14" spans="2:7" x14ac:dyDescent="0.25">
      <c r="B14" s="20" t="s">
        <v>35</v>
      </c>
      <c r="C14" s="21">
        <f>-$G$13</f>
        <v>0</v>
      </c>
      <c r="D14" s="17">
        <f t="shared" si="0"/>
        <v>0</v>
      </c>
      <c r="F14" s="18" t="s">
        <v>36</v>
      </c>
      <c r="G14" s="22"/>
    </row>
    <row r="15" spans="2:7" x14ac:dyDescent="0.25">
      <c r="B15" s="20" t="s">
        <v>37</v>
      </c>
      <c r="C15" s="21">
        <f>-$G$14</f>
        <v>0</v>
      </c>
      <c r="D15" s="17">
        <f t="shared" si="0"/>
        <v>0</v>
      </c>
    </row>
    <row r="16" spans="2:7" ht="15" customHeight="1" x14ac:dyDescent="0.25">
      <c r="B16" s="27" t="s">
        <v>38</v>
      </c>
      <c r="C16" s="28">
        <f>C13+SUM(C14:C15)</f>
        <v>0</v>
      </c>
      <c r="D16" s="29">
        <f t="shared" si="0"/>
        <v>0</v>
      </c>
      <c r="F16" s="2" t="s">
        <v>39</v>
      </c>
      <c r="G16" s="2"/>
    </row>
    <row r="17" spans="6:7" x14ac:dyDescent="0.25">
      <c r="F17" s="18" t="s">
        <v>40</v>
      </c>
      <c r="G17" s="16">
        <f>$G$7*($G$8+$G$11)</f>
        <v>0</v>
      </c>
    </row>
    <row r="18" spans="6:7" x14ac:dyDescent="0.25">
      <c r="F18" s="18" t="s">
        <v>41</v>
      </c>
      <c r="G18" s="16">
        <f>$G$7-$G$7*($G$8+$G$11)</f>
        <v>0</v>
      </c>
    </row>
    <row r="19" spans="6:7" x14ac:dyDescent="0.25">
      <c r="F19" s="18" t="s">
        <v>42</v>
      </c>
      <c r="G19" s="30">
        <f>1-($G$8+$G$11)</f>
        <v>1</v>
      </c>
    </row>
    <row r="20" spans="6:7" x14ac:dyDescent="0.25">
      <c r="F20" s="18" t="s">
        <v>43</v>
      </c>
      <c r="G20" s="16">
        <f>$G$9+$G$10+$G$12+$G$13+$G$14</f>
        <v>0</v>
      </c>
    </row>
    <row r="21" spans="6:7" x14ac:dyDescent="0.25">
      <c r="F21" s="18" t="s">
        <v>44</v>
      </c>
      <c r="G21" s="31">
        <f>IFERROR(ROUNDUP(($G$9+$G$10+$G$12+$G$13+$G$14)/($G$7-$G$7*($G$8+$G$11)),0),0)</f>
        <v>0</v>
      </c>
    </row>
    <row r="22" spans="6:7" x14ac:dyDescent="0.25">
      <c r="F22" s="18" t="s">
        <v>45</v>
      </c>
      <c r="G22" s="16">
        <f>IFERROR(($G$9+$G$10+$G$12+$G$13+$G$14)/(1-($G$8+$G$11)),0)</f>
        <v>0</v>
      </c>
    </row>
    <row r="23" spans="6:7" x14ac:dyDescent="0.25">
      <c r="F23" s="18" t="s">
        <v>46</v>
      </c>
      <c r="G23" s="30">
        <f>IFERROR(C16/C6,0)</f>
        <v>0</v>
      </c>
    </row>
  </sheetData>
  <mergeCells count="4">
    <mergeCell ref="B2:G2"/>
    <mergeCell ref="B3:G3"/>
    <mergeCell ref="F5:G5"/>
    <mergeCell ref="F16:G1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6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6" customWidth="1"/>
    <col min="3" max="4" width="18" customWidth="1"/>
    <col min="5" max="5" width="16" customWidth="1"/>
    <col min="6" max="6" width="14" customWidth="1"/>
    <col min="7" max="7" width="30" customWidth="1"/>
  </cols>
  <sheetData>
    <row r="2" spans="2:7" ht="30" customHeight="1" x14ac:dyDescent="0.25">
      <c r="B2" s="5" t="s">
        <v>49</v>
      </c>
      <c r="C2" s="5"/>
      <c r="D2" s="5"/>
      <c r="E2" s="5"/>
      <c r="F2" s="5"/>
      <c r="G2" s="5"/>
    </row>
    <row r="3" spans="2:7" ht="15" customHeight="1" x14ac:dyDescent="0.25">
      <c r="B3" s="4" t="s">
        <v>50</v>
      </c>
      <c r="C3" s="4"/>
      <c r="D3" s="4"/>
      <c r="E3" s="4"/>
      <c r="F3" s="4"/>
      <c r="G3" s="4"/>
    </row>
    <row r="5" spans="2:7" x14ac:dyDescent="0.25">
      <c r="B5" s="32" t="s">
        <v>51</v>
      </c>
      <c r="C5" s="32" t="s">
        <v>52</v>
      </c>
      <c r="D5" s="32" t="s">
        <v>53</v>
      </c>
      <c r="E5" s="32" t="s">
        <v>54</v>
      </c>
      <c r="F5" s="32" t="s">
        <v>55</v>
      </c>
      <c r="G5" s="32" t="s">
        <v>56</v>
      </c>
    </row>
    <row r="6" spans="2:7" x14ac:dyDescent="0.25">
      <c r="B6" s="33" t="s">
        <v>57</v>
      </c>
      <c r="C6" s="34">
        <f>'Modelo Resuelto'!C6</f>
        <v>4770000</v>
      </c>
      <c r="D6" s="22">
        <v>4500000</v>
      </c>
      <c r="E6" s="21">
        <f t="shared" ref="E6:E14" si="0">D6-C6</f>
        <v>-270000</v>
      </c>
      <c r="F6" s="35">
        <f t="shared" ref="F6:F14" si="1">IF(C6=0,0,(D6-C6)/ABS(C6))</f>
        <v>-5.6603773584905662E-2</v>
      </c>
      <c r="G6" s="36" t="str">
        <f>IF(E6&gt;=0,"Favorable","Desfavorable - revisar")</f>
        <v>Desfavorable - revisar</v>
      </c>
    </row>
    <row r="7" spans="2:7" x14ac:dyDescent="0.25">
      <c r="B7" s="33" t="s">
        <v>58</v>
      </c>
      <c r="C7" s="34">
        <f>'Modelo Resuelto'!C7</f>
        <v>-1431000</v>
      </c>
      <c r="D7" s="22">
        <v>-1395000</v>
      </c>
      <c r="E7" s="21">
        <f t="shared" si="0"/>
        <v>36000</v>
      </c>
      <c r="F7" s="35">
        <f t="shared" si="1"/>
        <v>2.5157232704402517E-2</v>
      </c>
      <c r="G7" s="36" t="str">
        <f t="shared" ref="G7:G13" si="2">IF(E7&lt;=0,"Favorable (gasté menos)","Desfavorable - sobrecosto")</f>
        <v>Desfavorable - sobrecosto</v>
      </c>
    </row>
    <row r="8" spans="2:7" x14ac:dyDescent="0.25">
      <c r="B8" s="33" t="s">
        <v>59</v>
      </c>
      <c r="C8" s="34">
        <f>'Modelo Resuelto'!C8</f>
        <v>-2000000</v>
      </c>
      <c r="D8" s="22">
        <v>-2080000</v>
      </c>
      <c r="E8" s="21">
        <f t="shared" si="0"/>
        <v>-80000</v>
      </c>
      <c r="F8" s="35">
        <f t="shared" si="1"/>
        <v>-0.04</v>
      </c>
      <c r="G8" s="36" t="str">
        <f t="shared" si="2"/>
        <v>Favorable (gasté menos)</v>
      </c>
    </row>
    <row r="9" spans="2:7" x14ac:dyDescent="0.25">
      <c r="B9" s="33" t="s">
        <v>60</v>
      </c>
      <c r="C9" s="34">
        <f>'Modelo Resuelto'!C9</f>
        <v>-600000</v>
      </c>
      <c r="D9" s="22">
        <v>-640000</v>
      </c>
      <c r="E9" s="21">
        <f t="shared" si="0"/>
        <v>-40000</v>
      </c>
      <c r="F9" s="35">
        <f t="shared" si="1"/>
        <v>-6.6666666666666666E-2</v>
      </c>
      <c r="G9" s="36" t="str">
        <f t="shared" si="2"/>
        <v>Favorable (gasté menos)</v>
      </c>
    </row>
    <row r="10" spans="2:7" x14ac:dyDescent="0.25">
      <c r="B10" s="33" t="s">
        <v>61</v>
      </c>
      <c r="C10" s="34">
        <f>'Modelo Resuelto'!C11</f>
        <v>-95400</v>
      </c>
      <c r="D10" s="22">
        <v>-99000</v>
      </c>
      <c r="E10" s="21">
        <f t="shared" si="0"/>
        <v>-3600</v>
      </c>
      <c r="F10" s="35">
        <f t="shared" si="1"/>
        <v>-3.7735849056603772E-2</v>
      </c>
      <c r="G10" s="36" t="str">
        <f t="shared" si="2"/>
        <v>Favorable (gasté menos)</v>
      </c>
    </row>
    <row r="11" spans="2:7" x14ac:dyDescent="0.25">
      <c r="B11" s="33" t="s">
        <v>62</v>
      </c>
      <c r="C11" s="34">
        <f>'Modelo Resuelto'!C12</f>
        <v>-260000</v>
      </c>
      <c r="D11" s="22">
        <v>-260000</v>
      </c>
      <c r="E11" s="21">
        <f t="shared" si="0"/>
        <v>0</v>
      </c>
      <c r="F11" s="35">
        <f t="shared" si="1"/>
        <v>0</v>
      </c>
      <c r="G11" s="36" t="str">
        <f t="shared" si="2"/>
        <v>Favorable (gasté menos)</v>
      </c>
    </row>
    <row r="12" spans="2:7" x14ac:dyDescent="0.25">
      <c r="B12" s="33" t="s">
        <v>63</v>
      </c>
      <c r="C12" s="34">
        <f>'Modelo Resuelto'!C14</f>
        <v>-120000</v>
      </c>
      <c r="D12" s="22">
        <v>-120000</v>
      </c>
      <c r="E12" s="21">
        <f t="shared" si="0"/>
        <v>0</v>
      </c>
      <c r="F12" s="35">
        <f t="shared" si="1"/>
        <v>0</v>
      </c>
      <c r="G12" s="36" t="str">
        <f t="shared" si="2"/>
        <v>Favorable (gasté menos)</v>
      </c>
    </row>
    <row r="13" spans="2:7" x14ac:dyDescent="0.25">
      <c r="B13" s="33" t="s">
        <v>64</v>
      </c>
      <c r="C13" s="34">
        <f>'Modelo Resuelto'!C15</f>
        <v>-80000</v>
      </c>
      <c r="D13" s="22">
        <v>-80000</v>
      </c>
      <c r="E13" s="21">
        <f t="shared" si="0"/>
        <v>0</v>
      </c>
      <c r="F13" s="35">
        <f t="shared" si="1"/>
        <v>0</v>
      </c>
      <c r="G13" s="36" t="str">
        <f t="shared" si="2"/>
        <v>Favorable (gasté menos)</v>
      </c>
    </row>
    <row r="14" spans="2:7" x14ac:dyDescent="0.25">
      <c r="B14" s="37" t="s">
        <v>65</v>
      </c>
      <c r="C14" s="38">
        <f>'Modelo Resuelto'!C16</f>
        <v>183600</v>
      </c>
      <c r="D14" s="39">
        <f>SUM(D6:D13)</f>
        <v>-174000</v>
      </c>
      <c r="E14" s="40">
        <f t="shared" si="0"/>
        <v>-357600</v>
      </c>
      <c r="F14" s="41">
        <f t="shared" si="1"/>
        <v>-1.9477124183006536</v>
      </c>
      <c r="G14" s="42" t="str">
        <f>IF(E14&gt;=0,"Mejor que lo presupuestado","Peor que lo presupuestado")</f>
        <v>Peor que lo presupuestado</v>
      </c>
    </row>
    <row r="16" spans="2:7" ht="27.75" customHeight="1" x14ac:dyDescent="0.25">
      <c r="B16" s="1" t="s">
        <v>66</v>
      </c>
      <c r="C16" s="1"/>
      <c r="D16" s="1"/>
      <c r="E16" s="1"/>
      <c r="F16" s="1"/>
      <c r="G16" s="1"/>
    </row>
  </sheetData>
  <mergeCells count="3">
    <mergeCell ref="B2:G2"/>
    <mergeCell ref="B3:G3"/>
    <mergeCell ref="B16:G1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7"/>
  <sheetViews>
    <sheetView showGridLines="0" tabSelected="1" zoomScaleNormal="100" workbookViewId="0"/>
  </sheetViews>
  <sheetFormatPr baseColWidth="10" defaultColWidth="8.7109375" defaultRowHeight="15" x14ac:dyDescent="0.25"/>
  <cols>
    <col min="1" max="1" width="2" customWidth="1"/>
    <col min="2" max="2" width="30" customWidth="1"/>
    <col min="3" max="8" width="14" customWidth="1"/>
  </cols>
  <sheetData>
    <row r="2" spans="2:8" ht="30" customHeight="1" x14ac:dyDescent="0.25">
      <c r="B2" s="5" t="s">
        <v>67</v>
      </c>
      <c r="C2" s="5"/>
      <c r="D2" s="5"/>
      <c r="E2" s="5"/>
      <c r="F2" s="5"/>
      <c r="G2" s="5"/>
      <c r="H2" s="5"/>
    </row>
    <row r="3" spans="2:8" ht="15" customHeight="1" x14ac:dyDescent="0.25">
      <c r="B3" s="4" t="s">
        <v>68</v>
      </c>
      <c r="C3" s="4"/>
      <c r="D3" s="4"/>
      <c r="E3" s="4"/>
      <c r="F3" s="4"/>
      <c r="G3" s="4"/>
      <c r="H3" s="4"/>
    </row>
    <row r="5" spans="2:8" x14ac:dyDescent="0.25">
      <c r="B5" s="43" t="s">
        <v>69</v>
      </c>
      <c r="C5" s="23">
        <v>0.05</v>
      </c>
    </row>
    <row r="6" spans="2:8" x14ac:dyDescent="0.25">
      <c r="B6" s="43" t="s">
        <v>70</v>
      </c>
      <c r="C6" s="22">
        <v>3200</v>
      </c>
    </row>
    <row r="7" spans="2:8" x14ac:dyDescent="0.25">
      <c r="B7" s="43" t="s">
        <v>71</v>
      </c>
      <c r="C7" s="22">
        <v>10000</v>
      </c>
    </row>
    <row r="8" spans="2:8" x14ac:dyDescent="0.25">
      <c r="B8" s="43" t="s">
        <v>72</v>
      </c>
      <c r="C8" s="23">
        <v>0.08</v>
      </c>
    </row>
    <row r="10" spans="2:8" x14ac:dyDescent="0.25">
      <c r="B10" s="32" t="s">
        <v>73</v>
      </c>
      <c r="C10" s="32" t="s">
        <v>74</v>
      </c>
      <c r="D10" s="32" t="s">
        <v>75</v>
      </c>
      <c r="E10" s="32" t="s">
        <v>76</v>
      </c>
      <c r="F10" s="32" t="s">
        <v>77</v>
      </c>
      <c r="G10" s="32" t="s">
        <v>78</v>
      </c>
      <c r="H10" s="32" t="s">
        <v>79</v>
      </c>
    </row>
    <row r="11" spans="2:8" x14ac:dyDescent="0.25">
      <c r="B11" s="21" t="s">
        <v>80</v>
      </c>
      <c r="C11" s="21">
        <f>$C$6</f>
        <v>3200</v>
      </c>
      <c r="D11" s="21">
        <f>C11*(1+$C$5)</f>
        <v>3360</v>
      </c>
      <c r="E11" s="21">
        <f>D11*(1+$C$5)</f>
        <v>3528</v>
      </c>
      <c r="F11" s="21">
        <f>E11*(1+$C$5)</f>
        <v>3704.4</v>
      </c>
      <c r="G11" s="21">
        <f>F11*(1+$C$5)</f>
        <v>3889.6200000000003</v>
      </c>
      <c r="H11" s="21">
        <f>G11*(1+$C$5)</f>
        <v>4084.1010000000006</v>
      </c>
    </row>
    <row r="12" spans="2:8" x14ac:dyDescent="0.25">
      <c r="B12" s="44" t="s">
        <v>81</v>
      </c>
      <c r="C12" s="44">
        <v>0</v>
      </c>
      <c r="D12" s="44">
        <f>D11/$C$11-1</f>
        <v>5.0000000000000044E-2</v>
      </c>
      <c r="E12" s="44">
        <f>E11/$C$11-1</f>
        <v>0.10250000000000004</v>
      </c>
      <c r="F12" s="44">
        <f>F11/$C$11-1</f>
        <v>0.15762500000000013</v>
      </c>
      <c r="G12" s="44">
        <f>G11/$C$11-1</f>
        <v>0.21550625000000001</v>
      </c>
      <c r="H12" s="44">
        <f>H11/$C$11-1</f>
        <v>0.27628156250000013</v>
      </c>
    </row>
    <row r="13" spans="2:8" x14ac:dyDescent="0.25">
      <c r="B13" s="45" t="s">
        <v>82</v>
      </c>
      <c r="C13" s="45" t="str">
        <f>"OK"</f>
        <v>OK</v>
      </c>
      <c r="D13" s="45" t="str">
        <f>IF(D12&gt;=$C$8,"AJUSTAR","OK")</f>
        <v>OK</v>
      </c>
      <c r="E13" s="45" t="str">
        <f>IF(E12&gt;=$C$8,"AJUSTAR","OK")</f>
        <v>AJUSTAR</v>
      </c>
      <c r="F13" s="45" t="str">
        <f>IF(F12&gt;=$C$8,"AJUSTAR","OK")</f>
        <v>AJUSTAR</v>
      </c>
      <c r="G13" s="45" t="str">
        <f>IF(G12&gt;=$C$8,"AJUSTAR","OK")</f>
        <v>AJUSTAR</v>
      </c>
      <c r="H13" s="45" t="str">
        <f>IF(H12&gt;=$C$8,"AJUSTAR","OK")</f>
        <v>AJUSTAR</v>
      </c>
    </row>
    <row r="14" spans="2:8" x14ac:dyDescent="0.25">
      <c r="B14" s="21" t="s">
        <v>83</v>
      </c>
      <c r="C14" s="21">
        <f>$C$7</f>
        <v>10000</v>
      </c>
      <c r="D14" s="21">
        <f>$C$7*(D11/$C$11)</f>
        <v>10500</v>
      </c>
      <c r="E14" s="21">
        <f>$C$7*(E11/$C$11)</f>
        <v>11025</v>
      </c>
      <c r="F14" s="21">
        <f>$C$7*(F11/$C$11)</f>
        <v>11576.250000000002</v>
      </c>
      <c r="G14" s="21">
        <f>$C$7*(G11/$C$11)</f>
        <v>12155.0625</v>
      </c>
      <c r="H14" s="21">
        <f>$C$7*(H11/$C$11)</f>
        <v>12762.815625000001</v>
      </c>
    </row>
    <row r="15" spans="2:8" x14ac:dyDescent="0.25">
      <c r="B15" s="44" t="s">
        <v>84</v>
      </c>
      <c r="C15" s="44">
        <f t="shared" ref="C15:H15" si="0">C11/$C$7</f>
        <v>0.32</v>
      </c>
      <c r="D15" s="44">
        <f t="shared" si="0"/>
        <v>0.33600000000000002</v>
      </c>
      <c r="E15" s="44">
        <f t="shared" si="0"/>
        <v>0.3528</v>
      </c>
      <c r="F15" s="44">
        <f t="shared" si="0"/>
        <v>0.37043999999999999</v>
      </c>
      <c r="G15" s="44">
        <f t="shared" si="0"/>
        <v>0.38896200000000003</v>
      </c>
      <c r="H15" s="44">
        <f t="shared" si="0"/>
        <v>0.40841010000000005</v>
      </c>
    </row>
    <row r="17" spans="2:8" ht="39.75" customHeight="1" x14ac:dyDescent="0.25">
      <c r="B17" s="1" t="s">
        <v>85</v>
      </c>
      <c r="C17" s="1"/>
      <c r="D17" s="1"/>
      <c r="E17" s="1"/>
      <c r="F17" s="1"/>
      <c r="G17" s="1"/>
      <c r="H17" s="1"/>
    </row>
  </sheetData>
  <mergeCells count="3">
    <mergeCell ref="B2:H2"/>
    <mergeCell ref="B3:H3"/>
    <mergeCell ref="B17:H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Modelo Resuelto</vt:lpstr>
      <vt:lpstr>Plantilla</vt:lpstr>
      <vt:lpstr>Control de Desvíos</vt:lpstr>
      <vt:lpstr>Inflación y Ajuste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MERCEDES RECALDE</cp:lastModifiedBy>
  <cp:revision>0</cp:revision>
  <dcterms:created xsi:type="dcterms:W3CDTF">2026-06-10T22:45:37Z</dcterms:created>
  <dcterms:modified xsi:type="dcterms:W3CDTF">2026-06-10T22:50:05Z</dcterms:modified>
  <dc:language>en-US</dc:language>
</cp:coreProperties>
</file>